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f365f395e96fc2/Apps/Professor Excel/Webpage/Blogposts/210120_Strava_Heart_Rate/"/>
    </mc:Choice>
  </mc:AlternateContent>
  <xr:revisionPtr revIDLastSave="1" documentId="8_{D96950A3-44B3-4DD3-9E5C-60AECBE4D3D1}" xr6:coauthVersionLast="46" xr6:coauthVersionMax="46" xr10:uidLastSave="{E2ECDA76-17A0-40CC-AE6D-CBFB443E8FF5}"/>
  <bookViews>
    <workbookView xWindow="-110" yWindow="-110" windowWidth="38620" windowHeight="21220" xr2:uid="{AB4A5496-F044-6249-A37B-4A98FF74903B}"/>
  </bookViews>
  <sheets>
    <sheet name="Instructions" sheetId="5" r:id="rId1"/>
    <sheet name="Activity_Overview" sheetId="4" r:id="rId2"/>
    <sheet name="Data" sheetId="3" r:id="rId3"/>
  </sheets>
  <definedNames>
    <definedName name="_xlnm._FilterDatabase" localSheetId="2" hidden="1">Data!$A$1:$R$2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4" l="1"/>
  <c r="C2" i="3"/>
  <c r="D24" i="4"/>
  <c r="N2" i="3"/>
  <c r="P2" i="3" s="1"/>
  <c r="M2" i="3"/>
  <c r="O2" i="3" s="1"/>
  <c r="I7" i="4"/>
  <c r="I11" i="4" s="1"/>
  <c r="G2" i="3"/>
  <c r="H2" i="3" s="1"/>
  <c r="F2" i="3"/>
  <c r="J2" i="3"/>
  <c r="K2" i="3" s="1"/>
  <c r="B2" i="3" l="1"/>
  <c r="E2" i="3"/>
  <c r="D2" i="3"/>
  <c r="Q2" i="3"/>
  <c r="D26" i="4"/>
  <c r="H36" i="4"/>
  <c r="D25" i="4"/>
  <c r="I23" i="4"/>
  <c r="I33" i="4"/>
  <c r="L2" i="3"/>
  <c r="I2" i="3"/>
  <c r="R2" i="3" l="1"/>
  <c r="H14" i="4"/>
  <c r="H26" i="4"/>
  <c r="I26" i="4"/>
  <c r="I14" i="4" l="1"/>
  <c r="H17" i="4"/>
  <c r="I17" i="4"/>
  <c r="I28" i="4"/>
  <c r="H28" i="4"/>
  <c r="H18" i="4" l="1"/>
  <c r="H38" i="4"/>
</calcChain>
</file>

<file path=xl/sharedStrings.xml><?xml version="1.0" encoding="utf-8"?>
<sst xmlns="http://schemas.openxmlformats.org/spreadsheetml/2006/main" count="67" uniqueCount="66">
  <si>
    <t>Original</t>
  </si>
  <si>
    <t>Result</t>
  </si>
  <si>
    <t>Original in data</t>
  </si>
  <si>
    <t>Calculated new</t>
  </si>
  <si>
    <t>Average Heart Rate</t>
  </si>
  <si>
    <t>Maximum Heart Rate</t>
  </si>
  <si>
    <t>Start Time</t>
  </si>
  <si>
    <t>End Time</t>
  </si>
  <si>
    <t>Start time adjustment</t>
  </si>
  <si>
    <t>Adjust start time</t>
  </si>
  <si>
    <t>Heart Rate Adjustment</t>
  </si>
  <si>
    <t>Adjust heart rate</t>
  </si>
  <si>
    <t>Enter new: Increase of heart rate</t>
  </si>
  <si>
    <t>Enter new: Maximum heart rate</t>
  </si>
  <si>
    <t>Current time [min]</t>
  </si>
  <si>
    <t>New time [min]</t>
  </si>
  <si>
    <t>Check new time [min]</t>
  </si>
  <si>
    <t>Adjust time length</t>
  </si>
  <si>
    <t>Time length (including breaks)</t>
  </si>
  <si>
    <t>Activity Info</t>
  </si>
  <si>
    <t>Date</t>
  </si>
  <si>
    <t>Time</t>
  </si>
  <si>
    <t>Name</t>
  </si>
  <si>
    <t>Adjust Activity</t>
  </si>
  <si>
    <t>Adjust time</t>
  </si>
  <si>
    <t>Enter new: Time change in minutes</t>
  </si>
  <si>
    <t>Please confirm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</si>
  <si>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</si>
  <si>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</si>
  <si>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</si>
  <si>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</si>
  <si>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</si>
  <si>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</si>
  <si>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</si>
  <si>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</si>
  <si>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</si>
  <si>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</si>
  <si>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</si>
  <si>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</si>
  <si>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</si>
  <si>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</si>
  <si>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Instructions</t>
  </si>
  <si>
    <t>15</t>
  </si>
  <si>
    <t>16</t>
  </si>
  <si>
    <t>Adjusted Heart Rate</t>
  </si>
  <si>
    <t>Effective increase</t>
  </si>
  <si>
    <t>Paste GPX data here</t>
  </si>
  <si>
    <t xml:space="preserve">Please visit </t>
  </si>
  <si>
    <t>https://professor-excel.com/correct-wrong-strava-and-garmin-results-in-excel-free-tool/</t>
  </si>
  <si>
    <t>to read the detailed instructions.</t>
  </si>
  <si>
    <t xml:space="preserve">In a nutshell: </t>
  </si>
  <si>
    <t xml:space="preserve">Download your activity data as "GPX" file and past it to column A on the Data sheet. </t>
  </si>
  <si>
    <t xml:space="preserve">Adjust the settings on worksheet "Activity_Overview". </t>
  </si>
  <si>
    <t>Copy the changed data from column B on the Data worksheet. You can just save it in a new text file (saved in the GPX format).</t>
  </si>
  <si>
    <t>Upload the new file to Strava / Garmin.</t>
  </si>
  <si>
    <t>1.</t>
  </si>
  <si>
    <t>2.</t>
  </si>
  <si>
    <t xml:space="preserve">3. </t>
  </si>
  <si>
    <t>4.</t>
  </si>
  <si>
    <t>While you are here: Why don't you sign up for the free Professor Excel Newsletter. Approx. once per months your receive Excel news, tips and tricks.</t>
  </si>
  <si>
    <t>https://professor-excel.com/newsletter/</t>
  </si>
  <si>
    <t>Legend</t>
  </si>
  <si>
    <t>For all other cells: Don't change them.</t>
  </si>
  <si>
    <t>Input</t>
  </si>
  <si>
    <t>Just one thing: Formatted like this are input fields:</t>
  </si>
  <si>
    <t>Professor Excel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</si>
</sst>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409]m/d/yy\ h:mm\ AM/PM;@"/>
    <numFmt numFmtId="166" formatCode="[$-409]m/d/yy\ h:mm:ss\ AM/PM;@"/>
    <numFmt numFmtId="167" formatCode="[$-F400]h:mm:ss\ AM/PM"/>
    <numFmt numFmtId="168" formatCode="#,##0.0000000000000;\-#,##0.0000000000000;&quot;&quot;;&quot;&quot;"/>
  </numFmts>
  <fonts count="16" x14ac:knownFonts="1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3F3F76"/>
      <name val="Arial"/>
      <family val="2"/>
    </font>
    <font>
      <sz val="8"/>
      <color rgb="FF000000"/>
      <name val="Segoe UI"/>
      <family val="2"/>
    </font>
    <font>
      <b/>
      <sz val="10"/>
      <color indexed="8"/>
      <name val="Arial"/>
      <family val="2"/>
    </font>
    <font>
      <b/>
      <sz val="15"/>
      <color rgb="FFFF6200"/>
      <name val="Arial"/>
      <family val="2"/>
    </font>
    <font>
      <b/>
      <sz val="13"/>
      <color rgb="FF217346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rgb="FF217346"/>
      <name val="Arial"/>
      <family val="2"/>
    </font>
    <font>
      <sz val="10"/>
      <color theme="1"/>
      <name val="Arial"/>
      <family val="2"/>
    </font>
    <font>
      <sz val="11"/>
      <color rgb="FF3F3F7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2B80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E6E6E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/>
      <top style="thin">
        <color indexed="23"/>
      </top>
      <bottom style="thin">
        <color rgb="FF7F7F7F"/>
      </bottom>
      <diagonal/>
    </border>
    <border>
      <left/>
      <right style="thin">
        <color indexed="23"/>
      </right>
      <top style="thin">
        <color indexed="23"/>
      </top>
      <bottom style="thin">
        <color rgb="FF7F7F7F"/>
      </bottom>
      <diagonal/>
    </border>
    <border>
      <left style="thin">
        <color indexed="23"/>
      </left>
      <right/>
      <top style="thin">
        <color rgb="FF7F7F7F"/>
      </top>
      <bottom style="thin">
        <color indexed="23"/>
      </bottom>
      <diagonal/>
    </border>
    <border>
      <left/>
      <right style="thin">
        <color indexed="23"/>
      </right>
      <top style="thin">
        <color rgb="FF7F7F7F"/>
      </top>
      <bottom style="thin">
        <color indexed="23"/>
      </bottom>
      <diagonal/>
    </border>
    <border>
      <left/>
      <right/>
      <top/>
      <bottom style="thick">
        <color rgb="FFFF6200"/>
      </bottom>
      <diagonal/>
    </border>
    <border>
      <left/>
      <right/>
      <top/>
      <bottom style="thick">
        <color rgb="FF217346"/>
      </bottom>
      <diagonal/>
    </border>
    <border>
      <left style="medium">
        <color rgb="FFFF6200"/>
      </left>
      <right/>
      <top style="medium">
        <color rgb="FFFF6200"/>
      </top>
      <bottom/>
      <diagonal/>
    </border>
    <border>
      <left/>
      <right/>
      <top style="medium">
        <color rgb="FFFF6200"/>
      </top>
      <bottom/>
      <diagonal/>
    </border>
    <border>
      <left/>
      <right style="medium">
        <color rgb="FFFF6200"/>
      </right>
      <top style="medium">
        <color rgb="FFFF6200"/>
      </top>
      <bottom/>
      <diagonal/>
    </border>
    <border>
      <left style="medium">
        <color rgb="FFFF6200"/>
      </left>
      <right/>
      <top/>
      <bottom style="medium">
        <color rgb="FFFF6200"/>
      </bottom>
      <diagonal/>
    </border>
    <border>
      <left/>
      <right/>
      <top/>
      <bottom style="medium">
        <color rgb="FFFF6200"/>
      </bottom>
      <diagonal/>
    </border>
    <border>
      <left/>
      <right style="medium">
        <color rgb="FFFF6200"/>
      </right>
      <top/>
      <bottom style="medium">
        <color rgb="FFFF6200"/>
      </bottom>
      <diagonal/>
    </border>
  </borders>
  <cellStyleXfs count="5">
    <xf numFmtId="0" fontId="0" fillId="0" borderId="0"/>
    <xf numFmtId="0" fontId="8" fillId="0" borderId="12" applyNumberFormat="0" applyFill="0" applyAlignment="0" applyProtection="0"/>
    <xf numFmtId="0" fontId="1" fillId="2" borderId="1" applyNumberFormat="0" applyAlignment="0" applyProtection="0"/>
    <xf numFmtId="0" fontId="9" fillId="0" borderId="13" applyNumberFormat="0" applyFill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top"/>
    </xf>
    <xf numFmtId="164" fontId="3" fillId="4" borderId="2" xfId="0" applyNumberFormat="1" applyFont="1" applyFill="1" applyBorder="1" applyAlignment="1">
      <alignment vertical="top"/>
    </xf>
    <xf numFmtId="165" fontId="3" fillId="4" borderId="2" xfId="0" applyNumberFormat="1" applyFont="1" applyFill="1" applyBorder="1" applyAlignment="1">
      <alignment vertical="top"/>
    </xf>
    <xf numFmtId="166" fontId="0" fillId="0" borderId="0" xfId="0" applyNumberFormat="1"/>
    <xf numFmtId="166" fontId="3" fillId="4" borderId="2" xfId="0" applyNumberFormat="1" applyFont="1" applyFill="1" applyBorder="1" applyAlignment="1">
      <alignment vertical="top"/>
    </xf>
    <xf numFmtId="0" fontId="8" fillId="0" borderId="12" xfId="1"/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vertical="top"/>
    </xf>
    <xf numFmtId="164" fontId="3" fillId="5" borderId="2" xfId="0" applyNumberFormat="1" applyFont="1" applyFill="1" applyBorder="1" applyAlignment="1">
      <alignment vertical="top"/>
    </xf>
    <xf numFmtId="164" fontId="5" fillId="2" borderId="1" xfId="2" applyNumberFormat="1" applyFont="1" applyAlignment="1">
      <alignment vertical="top"/>
    </xf>
    <xf numFmtId="0" fontId="5" fillId="2" borderId="1" xfId="2" applyFont="1" applyAlignment="1">
      <alignment vertical="top"/>
    </xf>
    <xf numFmtId="3" fontId="0" fillId="0" borderId="0" xfId="0" applyNumberFormat="1"/>
    <xf numFmtId="0" fontId="2" fillId="3" borderId="2" xfId="0" applyFont="1" applyFill="1" applyBorder="1" applyAlignment="1">
      <alignment horizontal="centerContinuous" vertical="center" wrapText="1"/>
    </xf>
    <xf numFmtId="0" fontId="3" fillId="4" borderId="5" xfId="0" applyFont="1" applyFill="1" applyBorder="1" applyAlignment="1">
      <alignment horizontal="left" vertical="center"/>
    </xf>
    <xf numFmtId="1" fontId="0" fillId="0" borderId="0" xfId="0" applyNumberFormat="1"/>
    <xf numFmtId="0" fontId="7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167" fontId="3" fillId="4" borderId="2" xfId="0" applyNumberFormat="1" applyFont="1" applyFill="1" applyBorder="1" applyAlignment="1">
      <alignment horizontal="center" vertical="center"/>
    </xf>
    <xf numFmtId="0" fontId="9" fillId="0" borderId="13" xfId="3"/>
    <xf numFmtId="168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 vertical="center"/>
    </xf>
    <xf numFmtId="37" fontId="0" fillId="0" borderId="0" xfId="0" applyNumberFormat="1"/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0" borderId="12" xfId="1" applyFont="1"/>
    <xf numFmtId="0" fontId="11" fillId="0" borderId="0" xfId="0" applyFont="1"/>
    <xf numFmtId="0" fontId="12" fillId="0" borderId="0" xfId="0" applyFont="1"/>
    <xf numFmtId="0" fontId="13" fillId="0" borderId="0" xfId="4" applyFont="1"/>
    <xf numFmtId="0" fontId="12" fillId="0" borderId="0" xfId="0" quotePrefix="1" applyFont="1"/>
    <xf numFmtId="0" fontId="14" fillId="0" borderId="0" xfId="0" applyFont="1"/>
    <xf numFmtId="0" fontId="0" fillId="8" borderId="0" xfId="0" applyFill="1"/>
    <xf numFmtId="0" fontId="0" fillId="0" borderId="0" xfId="0" applyFill="1"/>
    <xf numFmtId="0" fontId="1" fillId="2" borderId="1" xfId="2"/>
    <xf numFmtId="0" fontId="15" fillId="2" borderId="1" xfId="2" applyFont="1"/>
    <xf numFmtId="164" fontId="1" fillId="2" borderId="6" xfId="2" applyNumberFormat="1" applyBorder="1" applyAlignment="1">
      <alignment horizontal="center" vertical="center" wrapText="1"/>
    </xf>
    <xf numFmtId="164" fontId="1" fillId="2" borderId="7" xfId="2" applyNumberFormat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</cellXfs>
  <cellStyles count="5">
    <cellStyle name="Heading 1" xfId="1" builtinId="16" customBuiltin="1"/>
    <cellStyle name="Heading 2" xfId="3" builtinId="17" customBuiltin="1"/>
    <cellStyle name="Hyperlink" xfId="4" builtinId="8"/>
    <cellStyle name="Input" xfId="2" builtinId="20"/>
    <cellStyle name="Normal" xfId="0" builtinId="0"/>
  </cellStyles>
  <dxfs count="23">
    <dxf>
      <numFmt numFmtId="5" formatCode="#,##0_);\(#,##0\)"/>
    </dxf>
    <dxf>
      <numFmt numFmtId="5" formatCode="#,##0_);\(#,##0\)"/>
    </dxf>
    <dxf>
      <numFmt numFmtId="168" formatCode="#,##0.0000000000000;\-#,##0.0000000000000;&quot;&quot;;&quot;&quot;"/>
    </dxf>
    <dxf>
      <numFmt numFmtId="168" formatCode="#,##0.0000000000000;\-#,##0.0000000000000;&quot;&quot;;&quot;&quot;"/>
    </dxf>
    <dxf>
      <numFmt numFmtId="3" formatCode="#,##0"/>
    </dxf>
    <dxf>
      <numFmt numFmtId="1" formatCode="0"/>
    </dxf>
    <dxf>
      <numFmt numFmtId="166" formatCode="[$-409]m/d/yy\ h:mm:ss\ AM/PM;@"/>
    </dxf>
    <dxf>
      <numFmt numFmtId="166" formatCode="[$-409]m/d/yy\ h:mm:ss\ AM/PM;@"/>
    </dxf>
    <dxf>
      <numFmt numFmtId="3" formatCode="#,##0"/>
    </dxf>
    <dxf>
      <numFmt numFmtId="166" formatCode="[$-409]m/d/yy\ h:mm:ss\ AM/PM;@"/>
    </dxf>
    <dxf>
      <numFmt numFmtId="166" formatCode="[$-409]m/d/yy\ h:mm:ss\ AM/PM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indexed="23"/>
        </top>
      </border>
    </dxf>
    <dxf>
      <border outline="0"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family val="2"/>
        <scheme val="none"/>
      </font>
      <fill>
        <patternFill patternType="solid">
          <fgColor indexed="64"/>
          <bgColor rgb="FF2B803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6E6E6"/>
      <color rgb="FF217346"/>
      <color rgb="FFFF6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Route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1.6528925619834711E-2"/>
          <c:w val="1"/>
          <c:h val="0.97433150267981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12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rgbClr val="FF6200"/>
              </a:solidFill>
              <a:ln w="9525">
                <a:solidFill>
                  <a:srgbClr val="FF6200"/>
                </a:solidFill>
              </a:ln>
              <a:effectLst/>
            </c:spPr>
          </c:marker>
          <c:xVal>
            <c:numRef>
              <c:f>Data!$P$2:$P$30214</c:f>
              <c:numCache>
                <c:formatCode>General</c:formatCode>
                <c:ptCount val="30213"/>
                <c:pt idx="0" formatCode="#,##0.0000000000000;\-#,##0.0000000000000;&quot;&quot;;&quot;&quot;">
                  <c:v>#N/A</c:v>
                </c:pt>
              </c:numCache>
            </c:numRef>
          </c:xVal>
          <c:yVal>
            <c:numRef>
              <c:f>Data!$O$2:$O$30214</c:f>
              <c:numCache>
                <c:formatCode>General</c:formatCode>
                <c:ptCount val="30213"/>
                <c:pt idx="0" formatCode="#,##0.0000000000000;\-#,##0.0000000000000;&quot;&quot;;&quot;&quot;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FD-4611-9459-06526C8BE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810287"/>
        <c:axId val="600820271"/>
      </c:scatterChart>
      <c:valAx>
        <c:axId val="600810287"/>
        <c:scaling>
          <c:orientation val="minMax"/>
        </c:scaling>
        <c:delete val="1"/>
        <c:axPos val="b"/>
        <c:numFmt formatCode="#,##0.0000000000000;\-#,##0.0000000000000;&quot;&quot;;&quot;&quot;" sourceLinked="1"/>
        <c:majorTickMark val="none"/>
        <c:minorTickMark val="none"/>
        <c:tickLblPos val="nextTo"/>
        <c:crossAx val="600820271"/>
        <c:crosses val="autoZero"/>
        <c:crossBetween val="midCat"/>
      </c:valAx>
      <c:valAx>
        <c:axId val="600820271"/>
        <c:scaling>
          <c:orientation val="minMax"/>
        </c:scaling>
        <c:delete val="1"/>
        <c:axPos val="l"/>
        <c:numFmt formatCode="#,##0.0000000000000;\-#,##0.0000000000000;&quot;&quot;;&quot;&quot;" sourceLinked="1"/>
        <c:majorTickMark val="none"/>
        <c:minorTickMark val="none"/>
        <c:tickLblPos val="nextTo"/>
        <c:crossAx val="600810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Hear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Original Heart Rate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rgbClr val="217346"/>
              </a:solidFill>
              <a:ln w="9525">
                <a:noFill/>
              </a:ln>
              <a:effectLst/>
            </c:spPr>
          </c:marker>
          <c:val>
            <c:numRef>
              <c:f>Data!$Q$2:$Q$30214</c:f>
              <c:numCache>
                <c:formatCode>General</c:formatCode>
                <c:ptCount val="30213"/>
                <c:pt idx="0" formatCode="#,##0_);\(#,##0\)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CBB-45B8-980C-7F9FD854D7AA}"/>
            </c:ext>
          </c:extLst>
        </c:ser>
        <c:ser>
          <c:idx val="1"/>
          <c:order val="1"/>
          <c:tx>
            <c:strRef>
              <c:f>Activity_Overview!$D$33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rgbClr val="FF6200"/>
              </a:solidFill>
              <a:ln w="9525">
                <a:noFill/>
              </a:ln>
              <a:effectLst/>
            </c:spPr>
          </c:marker>
          <c:val>
            <c:numRef>
              <c:f>Data!$R$2:$R$30214</c:f>
              <c:numCache>
                <c:formatCode>General</c:formatCode>
                <c:ptCount val="30213"/>
                <c:pt idx="0" formatCode="#,##0_);\(#,##0\)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B-45B8-980C-7F9FD854D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800719"/>
        <c:axId val="600805295"/>
      </c:lineChart>
      <c:catAx>
        <c:axId val="600800719"/>
        <c:scaling>
          <c:orientation val="minMax"/>
        </c:scaling>
        <c:delete val="1"/>
        <c:axPos val="b"/>
        <c:majorTickMark val="none"/>
        <c:minorTickMark val="none"/>
        <c:tickLblPos val="nextTo"/>
        <c:crossAx val="600805295"/>
        <c:crosses val="autoZero"/>
        <c:auto val="1"/>
        <c:lblAlgn val="ctr"/>
        <c:lblOffset val="100"/>
        <c:noMultiLvlLbl val="0"/>
      </c:catAx>
      <c:valAx>
        <c:axId val="60080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0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H23" lockText="1" noThreeD="1"/>
</file>

<file path=xl/ctrlProps/ctrlProp2.xml><?xml version="1.0" encoding="utf-8"?>
<formControlPr xmlns="http://schemas.microsoft.com/office/spreadsheetml/2009/9/main" objectType="CheckBox" fmlaLink="$H$11" lockText="1" noThreeD="1"/>
</file>

<file path=xl/ctrlProps/ctrlProp3.xml><?xml version="1.0" encoding="utf-8"?>
<formControlPr xmlns="http://schemas.microsoft.com/office/spreadsheetml/2009/9/main" objectType="CheckBox" fmlaLink="H33" lockText="1" noThreeD="1"/>
</file>

<file path=xl/ctrlProps/ctrlProp4.xml><?xml version="1.0" encoding="utf-8"?>
<formControlPr xmlns="http://schemas.microsoft.com/office/spreadsheetml/2009/9/main" objectType="CheckBox" fmlaLink="$H$7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fessor-excel.com/newslette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16</xdr:col>
      <xdr:colOff>6350</xdr:colOff>
      <xdr:row>38</xdr:row>
      <xdr:rowOff>153669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3403600"/>
          <a:ext cx="7772400" cy="3303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22</xdr:row>
          <xdr:rowOff>31750</xdr:rowOff>
        </xdr:from>
        <xdr:to>
          <xdr:col>8</xdr:col>
          <xdr:colOff>1308100</xdr:colOff>
          <xdr:row>22</xdr:row>
          <xdr:rowOff>279400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Adjust start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10</xdr:row>
          <xdr:rowOff>38100</xdr:rowOff>
        </xdr:from>
        <xdr:to>
          <xdr:col>8</xdr:col>
          <xdr:colOff>1308100</xdr:colOff>
          <xdr:row>10</xdr:row>
          <xdr:rowOff>279400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Adjust heart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32</xdr:row>
          <xdr:rowOff>31750</xdr:rowOff>
        </xdr:from>
        <xdr:to>
          <xdr:col>8</xdr:col>
          <xdr:colOff>1308100</xdr:colOff>
          <xdr:row>32</xdr:row>
          <xdr:rowOff>273050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Adjust time length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5</xdr:row>
          <xdr:rowOff>50800</xdr:rowOff>
        </xdr:from>
        <xdr:to>
          <xdr:col>8</xdr:col>
          <xdr:colOff>1746250</xdr:colOff>
          <xdr:row>6</xdr:row>
          <xdr:rowOff>184150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hereby confirm that I only use this tool for correcting obviously wrong results. I accept rules of sportsmanship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69850</xdr:colOff>
      <xdr:row>2</xdr:row>
      <xdr:rowOff>184150</xdr:rowOff>
    </xdr:from>
    <xdr:to>
      <xdr:col>4</xdr:col>
      <xdr:colOff>1174750</xdr:colOff>
      <xdr:row>22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27</xdr:row>
      <xdr:rowOff>69850</xdr:rowOff>
    </xdr:from>
    <xdr:to>
      <xdr:col>4</xdr:col>
      <xdr:colOff>1054100</xdr:colOff>
      <xdr:row>38</xdr:row>
      <xdr:rowOff>69850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34993-1190-490D-8A34-856A2B430328}" name="Table1" displayName="Table1" ref="A1:R2" totalsRowShown="0" headerRowDxfId="19" headerRowBorderDxfId="18" tableBorderDxfId="17">
  <autoFilter ref="A1:R2" xr:uid="{5BF03A23-C91C-B849-9DC6-161B39B357A6}"/>
  <tableColumns count="18">
    <tableColumn id="1" xr3:uid="{DA2F61E2-F28B-49F6-81DE-8E9017A6F9C4}" name="Original" dataCellStyle="Input"/>
    <tableColumn id="11" xr3:uid="{EA98A661-60A0-4BF1-BF0A-F41A5976F310}" name="Result" dataDxfId="16">
      <calculatedColumnFormula>IF(OR(AND(Table1[[#This Row],[1]]="",Table1[[#This Row],[Original]]=""),Table1[[#This Row],[Original]]="Paste GPX data here"),"",IF(Table1[[#This Row],[1]]&lt;&gt;"","         &lt;"&amp;Table1[[#This Row],[1]]&amp;Table1[[#This Row],[3]]&amp;"&lt;/"&amp;Table1[[#This Row],[1]]&amp;"&lt;!--Activity changed with Professor Excel model (professor-excel.com) - original hr: "&amp;Table1[[#This Row],[2]]&amp;"--&gt;",IF(OR(Table1[[#This Row],[4]]=1,Table1[[#This Row],[8]]=1),"  &lt;time&gt;"&amp;Table1[[#This Row],[10]]&amp;"&lt;/time&gt;&lt;!--Activity changed with Professor Excel model (professor-excel.com) - original time: "&amp;Table1[[#This Row],[5]]&amp;"--&gt;",A2)))</calculatedColumnFormula>
    </tableColumn>
    <tableColumn id="12" xr3:uid="{B128CE9A-EF34-40F5-9582-D05FFEC418FC}" name="1" dataDxfId="15">
      <calculatedColumnFormula>IF(IFERROR(FIND("&lt;gpxtpx:hr&gt;",Table1[[#This Row],[Original]]),0)&gt;0,"gpxtpx:hr&gt;",IF(IFERROR(FIND("&lt;ns3:hr&gt;",Table1[[#This Row],[Original]]),0)&gt;0,"ns3:hr&gt;",""))</calculatedColumnFormula>
    </tableColumn>
    <tableColumn id="3" xr3:uid="{045CC82A-145A-4D23-8C3E-2825F82E49FE}" name="2" dataDxfId="14">
      <calculatedColumnFormula>IF(Activity_Overview!$I$11=1,IF(Table1[[#This Row],[1]]&lt;&gt;"",SUBSTITUTE(SUBSTITUTE(Table1[[#This Row],[Original]],"&lt;"&amp;Table1[[#This Row],[1]],""),"&lt;/"&amp;Table1[[#This Row],[1]],"")*1,""),"")</calculatedColumnFormula>
    </tableColumn>
    <tableColumn id="4" xr3:uid="{F8623EE2-A68E-4A5D-82C2-E315B1A3F4B8}" name="3" dataDxfId="13">
      <calculatedColumnFormula>IF(Activity_Overview!$I$11=1,IF(Table1[[#This Row],[1]]&lt;&gt;"",MIN(Table1[[#This Row],[2]]+Activity_Overview!$H$15,Activity_Overview!$I$16),""),"")</calculatedColumnFormula>
    </tableColumn>
    <tableColumn id="5" xr3:uid="{A22A0ED5-F27E-4E99-93F0-13A48C86BDAA}" name="4" dataDxfId="12">
      <calculatedColumnFormula>IFERROR(IF(FIND("&lt;time&gt;",Table1[[#This Row],[Original]],1)&gt;1,Activity_Overview!$I$23,0),"")</calculatedColumnFormula>
    </tableColumn>
    <tableColumn id="6" xr3:uid="{DE141D06-D3FD-42C2-9AB7-6CD469873090}" name="5" dataDxfId="11">
      <calculatedColumnFormula>IFERROR(IF(FIND("&lt;time&gt;",Table1[[#This Row],[Original]],1)&gt;1,SUBSTITUTE(SUBSTITUTE(SUBSTITUTE(Table1[[#This Row],[Original]],"&lt;time&gt;",""),"&lt;/time&gt;","")," ","")),"")</calculatedColumnFormula>
    </tableColumn>
    <tableColumn id="9" xr3:uid="{0D79BA4A-A352-40C4-A1D4-EACD6F876C7F}" name="6" dataDxfId="10">
      <calculatedColumnFormula>IF(Table1[[#This Row],[5]]&lt;&gt;"",DATEVALUE(LEFT(Table1[[#This Row],[5]],FIND("T",Table1[[#This Row],[5]])-1))+TIMEVALUE(MID(G2,12,8)),"")</calculatedColumnFormula>
    </tableColumn>
    <tableColumn id="10" xr3:uid="{282415D6-4977-4577-BF3A-1EEC9081D011}" name="7" dataDxfId="9">
      <calculatedColumnFormula>IF(Table1[[#This Row],[4]]=1,Table1[[#This Row],[6]]+Activity_Overview!$H$27/24/60,IF(Table1[[#This Row],[4]]=0,Table1[[#This Row],[6]],""))</calculatedColumnFormula>
    </tableColumn>
    <tableColumn id="8" xr3:uid="{74363DE0-45E8-4A6C-A4AF-4AEA3A4BEF16}" name="8" dataDxfId="8">
      <calculatedColumnFormula>IFERROR(IF(FIND("&lt;time&gt;",Table1[[#This Row],[Original]],1)&gt;1,1*Activity_Overview!$I$33,0),"")</calculatedColumnFormula>
    </tableColumn>
    <tableColumn id="7" xr3:uid="{148AE38F-7B15-4474-AA06-F4A6123233B6}" name="9" dataDxfId="7">
      <calculatedColumnFormula>IF(Table1[[#This Row],[8]]=1,(Table1[[#This Row],[7]]-MIN(Table1[7]))*Activity_Overview!$H$37/Activity_Overview!$H$36+MIN(Table1[7]),IFERROR(IF(FIND("&lt;time&gt;",Table1[[#This Row],[Original]],1)&gt;1,Table1[[#This Row],[7]],""),""))</calculatedColumnFormula>
    </tableColumn>
    <tableColumn id="13" xr3:uid="{8A44C188-B39F-4A5B-8CF2-FF074094BC89}" name="10" dataDxfId="6">
      <calculatedColumnFormula>IF(Table1[[#This Row],[8]]=1,YEAR(Table1[[#This Row],[9]])&amp;"-"&amp;IF(MONTH(Table1[[#This Row],[9]])&lt;10,"0","")&amp;MONTH(Table1[[#This Row],[9]])&amp;"-"&amp;IF(DAY(Table1[[#This Row],[9]])&lt;10,"0","")&amp;DAY(Table1[[#This Row],[9]])&amp;"T"&amp;IF(HOUR(Table1[[#This Row],[9]])&lt;10,"0","")&amp;HOUR(Table1[[#This Row],[9]])&amp;":"&amp;IF(MINUTE(Table1[[#This Row],[9]])&lt;10,"0","")&amp;MINUTE(Table1[[#This Row],[9]])&amp;":"&amp;IF(SECOND(Table1[[#This Row],[9]])&lt;10,"0","")&amp;SECOND(Table1[[#This Row],[9]])&amp;"Z","")</calculatedColumnFormula>
    </tableColumn>
    <tableColumn id="15" xr3:uid="{481B39AD-777A-4E73-A4C3-E2C16CB4F9DA}" name="11" dataDxfId="5">
      <calculatedColumnFormula>IFERROR(FIND("lat=",Table1[[#This Row],[Original]]),"")</calculatedColumnFormula>
    </tableColumn>
    <tableColumn id="16" xr3:uid="{61A4FE3B-D5E9-4829-A9A8-CFD73B1464BA}" name="12" dataDxfId="4">
      <calculatedColumnFormula>IFERROR(FIND("lon=",Table1[[#This Row],[Original]]),"")</calculatedColumnFormula>
    </tableColumn>
    <tableColumn id="14" xr3:uid="{AAF5C43D-D916-43F6-8E8C-9984DCD038B8}" name="13" dataDxfId="3">
      <calculatedColumnFormula>IFERROR(MID(Table1[[#This Row],[Original]],Table1[[#This Row],[11]]+5,FIND(CHAR(34),Table1[[#This Row],[Original]],Table1[[#This Row],[11]]+5)-Table1[[#This Row],[11]]-5)*1,NA())</calculatedColumnFormula>
    </tableColumn>
    <tableColumn id="17" xr3:uid="{22270661-B67A-49EC-B35E-AE7796DB5477}" name="14" dataDxfId="2">
      <calculatedColumnFormula>IFERROR(MID(Table1[[#This Row],[Original]],Table1[[#This Row],[12]]+5,FIND(CHAR(34),Table1[[#This Row],[Original]],Table1[[#This Row],[12]]+5)-Table1[[#This Row],[12]]-5)*1,NA())</calculatedColumnFormula>
    </tableColumn>
    <tableColumn id="19" xr3:uid="{CE7CAA58-633D-44F5-991A-5AE6042BF177}" name="15" dataDxfId="1">
      <calculatedColumnFormula>IFERROR(SUBSTITUTE(SUBSTITUTE(Table1[[#This Row],[Original]],"&lt;"&amp;Table1[[#This Row],[1]],""),"&lt;/"&amp;Table1[[#This Row],[1]],"")*1,NA())</calculatedColumnFormula>
    </tableColumn>
    <tableColumn id="18" xr3:uid="{F4EA77B6-EA94-4C12-B9F1-628EBFBED2A2}" name="16" dataDxfId="0">
      <calculatedColumnFormula>IF(Table1[[#This Row],[3]]&lt;&gt;"",Table1[[#This Row],[3]],NA())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fessor-excel.com/newsletter/" TargetMode="External"/><Relationship Id="rId1" Type="http://schemas.openxmlformats.org/officeDocument/2006/relationships/hyperlink" Target="https://professor-excel.com/correct-wrong-strava-and-garmin-results-in-excel-free-too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8C915-3D52-4CF2-8769-BD585FC8125E}">
  <sheetPr>
    <tabColor theme="1" tint="0.499984740745262"/>
  </sheetPr>
  <dimension ref="A1:XFC43"/>
  <sheetViews>
    <sheetView showGridLines="0" showRowColHeaders="0" tabSelected="1" topLeftCell="B1" zoomScaleNormal="100" workbookViewId="0">
      <selection activeCell="D3" sqref="D3"/>
    </sheetView>
  </sheetViews>
  <sheetFormatPr defaultColWidth="0" defaultRowHeight="15.5" zeroHeight="1" x14ac:dyDescent="0.35"/>
  <cols>
    <col min="1" max="1" width="8.6640625" hidden="1"/>
    <col min="2" max="2" width="2.83203125" style="39" customWidth="1"/>
    <col min="3" max="3" width="2.83203125" style="40" customWidth="1"/>
    <col min="4" max="4" width="4.83203125" customWidth="1"/>
    <col min="5" max="5" width="3.58203125" customWidth="1"/>
    <col min="6" max="8" width="8.6640625" customWidth="1"/>
    <col min="9" max="9" width="6.1640625" customWidth="1"/>
    <col min="10" max="10" width="3.9140625" customWidth="1"/>
    <col min="11" max="11" width="8.6640625" customWidth="1"/>
    <col min="12" max="12" width="14.08203125" customWidth="1"/>
    <col min="13" max="16" width="8.6640625" customWidth="1"/>
    <col min="17" max="17" width="17.1640625" customWidth="1"/>
    <col min="19" max="16383" width="8.6640625" hidden="1"/>
    <col min="16384" max="16384" width="3.33203125" customWidth="1"/>
  </cols>
  <sheetData>
    <row r="1" spans="4:18" s="39" customFormat="1" x14ac:dyDescent="0.35"/>
    <row r="2" spans="4:18" x14ac:dyDescent="0.35"/>
    <row r="3" spans="4:18" ht="19.5" thickBot="1" x14ac:dyDescent="0.45">
      <c r="D3" s="33" t="s">
        <v>41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4:18" ht="16" thickTop="1" x14ac:dyDescent="0.35"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4:18" x14ac:dyDescent="0.35">
      <c r="D5" s="35" t="s">
        <v>47</v>
      </c>
      <c r="E5" s="35"/>
      <c r="F5" s="35"/>
      <c r="G5" s="38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4:18" x14ac:dyDescent="0.35">
      <c r="D6" s="36" t="s">
        <v>48</v>
      </c>
      <c r="E6" s="35"/>
      <c r="F6" s="35"/>
      <c r="G6" s="38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4:18" x14ac:dyDescent="0.35">
      <c r="D7" s="35" t="s">
        <v>49</v>
      </c>
      <c r="E7" s="35"/>
      <c r="F7" s="35"/>
      <c r="G7" s="38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4:18" x14ac:dyDescent="0.35">
      <c r="D8" s="35"/>
      <c r="E8" s="35"/>
      <c r="F8" s="35"/>
      <c r="G8" s="38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4:18" x14ac:dyDescent="0.35">
      <c r="D9" s="35" t="s">
        <v>50</v>
      </c>
      <c r="E9" s="35"/>
      <c r="F9" s="35"/>
      <c r="G9" s="38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4:18" x14ac:dyDescent="0.35">
      <c r="D10" s="35"/>
      <c r="E10" s="37" t="s">
        <v>55</v>
      </c>
      <c r="F10" s="35" t="s">
        <v>51</v>
      </c>
      <c r="G10" s="38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4:18" x14ac:dyDescent="0.35">
      <c r="D11" s="35"/>
      <c r="E11" s="37" t="s">
        <v>56</v>
      </c>
      <c r="F11" s="35" t="s">
        <v>52</v>
      </c>
      <c r="G11" s="3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4:18" x14ac:dyDescent="0.35">
      <c r="D12" s="35"/>
      <c r="E12" s="37" t="s">
        <v>57</v>
      </c>
      <c r="F12" s="35" t="s">
        <v>53</v>
      </c>
      <c r="G12" s="3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4:18" x14ac:dyDescent="0.35">
      <c r="D13" s="35"/>
      <c r="E13" s="37" t="s">
        <v>58</v>
      </c>
      <c r="F13" s="35" t="s">
        <v>54</v>
      </c>
      <c r="G13" s="3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4:18" x14ac:dyDescent="0.3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4:18" x14ac:dyDescent="0.35"/>
    <row r="16" spans="4:18" ht="19.5" thickBot="1" x14ac:dyDescent="0.45">
      <c r="D16" s="33" t="s">
        <v>61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4:18" ht="16" thickTop="1" x14ac:dyDescent="0.3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4:18" x14ac:dyDescent="0.35">
      <c r="D18" s="35" t="s">
        <v>64</v>
      </c>
      <c r="E18" s="35"/>
      <c r="F18" s="35"/>
      <c r="G18" s="35"/>
      <c r="H18" s="35"/>
      <c r="I18" s="35"/>
      <c r="J18" s="35"/>
      <c r="K18" s="42" t="s">
        <v>63</v>
      </c>
      <c r="L18" s="34"/>
      <c r="M18" s="34"/>
      <c r="N18" s="34"/>
      <c r="O18" s="34"/>
      <c r="P18" s="34"/>
      <c r="Q18" s="34"/>
      <c r="R18" s="34"/>
    </row>
    <row r="19" spans="4:18" x14ac:dyDescent="0.35">
      <c r="D19" s="35" t="s">
        <v>62</v>
      </c>
      <c r="E19" s="35"/>
      <c r="F19" s="35"/>
      <c r="G19" s="35"/>
      <c r="H19" s="35"/>
      <c r="I19" s="35"/>
      <c r="J19" s="35"/>
      <c r="K19" s="35"/>
      <c r="L19" s="34"/>
      <c r="M19" s="34"/>
      <c r="N19" s="34"/>
      <c r="O19" s="34"/>
      <c r="P19" s="34"/>
      <c r="Q19" s="34"/>
      <c r="R19" s="34"/>
    </row>
    <row r="20" spans="4:18" x14ac:dyDescent="0.3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4:18" ht="19.5" thickBot="1" x14ac:dyDescent="0.45">
      <c r="D21" s="33" t="s">
        <v>65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4:18" ht="16" thickTop="1" x14ac:dyDescent="0.3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4:18" x14ac:dyDescent="0.35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4:18" x14ac:dyDescent="0.3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4:18" x14ac:dyDescent="0.3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4:18" x14ac:dyDescent="0.3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4:18" x14ac:dyDescent="0.3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4:18" x14ac:dyDescent="0.3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4:18" x14ac:dyDescent="0.3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4:18" x14ac:dyDescent="0.3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4:18" x14ac:dyDescent="0.3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4:18" x14ac:dyDescent="0.3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4:18" x14ac:dyDescent="0.3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4:18" x14ac:dyDescent="0.3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4:18" x14ac:dyDescent="0.3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4:18" x14ac:dyDescent="0.35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4:18" x14ac:dyDescent="0.35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4:18" x14ac:dyDescent="0.3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4:18" x14ac:dyDescent="0.35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4:18" x14ac:dyDescent="0.35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4:18" x14ac:dyDescent="0.35">
      <c r="D41" s="35" t="s">
        <v>59</v>
      </c>
      <c r="E41" s="3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4:18" x14ac:dyDescent="0.35">
      <c r="D42" s="36" t="s">
        <v>60</v>
      </c>
      <c r="E42" s="3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4:18" x14ac:dyDescent="0.35"/>
  </sheetData>
  <hyperlinks>
    <hyperlink ref="D6" r:id="rId1" xr:uid="{D11B2E02-7756-4343-9091-84A30C9B36F6}"/>
    <hyperlink ref="D42" r:id="rId2" xr:uid="{97B6B52A-DF94-4E76-8ABE-E8C6860296F1}"/>
  </hyperlinks>
  <pageMargins left="0.7" right="0.7" top="0.75" bottom="0.75" header="0.3" footer="0.3"/>
  <pageSetup orientation="portrait" r:id="rId3"/>
  <ignoredErrors>
    <ignoredError sqref="E10:E13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9E16-FB90-45AF-BB89-6A85BC617300}">
  <sheetPr>
    <tabColor rgb="FFFF6200"/>
  </sheetPr>
  <dimension ref="B1:M40"/>
  <sheetViews>
    <sheetView showGridLines="0" topLeftCell="B1" zoomScaleNormal="100" workbookViewId="0">
      <selection activeCell="C2" sqref="C2"/>
    </sheetView>
  </sheetViews>
  <sheetFormatPr defaultColWidth="0" defaultRowHeight="15.5" zeroHeight="1" x14ac:dyDescent="0.35"/>
  <cols>
    <col min="1" max="1" width="10.6640625" hidden="1" customWidth="1"/>
    <col min="2" max="2" width="2.9140625" customWidth="1"/>
    <col min="3" max="5" width="20.33203125" customWidth="1"/>
    <col min="6" max="6" width="2.9140625" customWidth="1"/>
    <col min="7" max="7" width="26.58203125" bestFit="1" customWidth="1"/>
    <col min="8" max="9" width="23.6640625" customWidth="1"/>
    <col min="10" max="10" width="10.6640625" customWidth="1"/>
    <col min="11" max="11" width="10.6640625" hidden="1" customWidth="1"/>
    <col min="12" max="12" width="15.5" hidden="1" customWidth="1"/>
    <col min="13" max="13" width="16.4140625" hidden="1" customWidth="1"/>
    <col min="14" max="16384" width="10.6640625" hidden="1"/>
  </cols>
  <sheetData>
    <row r="1" spans="3:9" x14ac:dyDescent="0.35"/>
    <row r="2" spans="3:9" ht="19.5" thickBot="1" x14ac:dyDescent="0.45">
      <c r="C2" s="7" t="s">
        <v>19</v>
      </c>
      <c r="D2" s="7"/>
      <c r="E2" s="7"/>
      <c r="G2" s="7" t="s">
        <v>23</v>
      </c>
      <c r="H2" s="7"/>
      <c r="I2" s="7"/>
    </row>
    <row r="3" spans="3:9" ht="16" thickTop="1" x14ac:dyDescent="0.35"/>
    <row r="4" spans="3:9" ht="17" thickBot="1" x14ac:dyDescent="0.4">
      <c r="G4" s="22" t="s">
        <v>26</v>
      </c>
      <c r="H4" s="22"/>
      <c r="I4" s="22"/>
    </row>
    <row r="5" spans="3:9" ht="16.5" thickTop="1" thickBot="1" x14ac:dyDescent="0.4"/>
    <row r="6" spans="3:9" x14ac:dyDescent="0.35">
      <c r="G6" s="24"/>
      <c r="H6" s="25"/>
      <c r="I6" s="26"/>
    </row>
    <row r="7" spans="3:9" ht="16" thickBot="1" x14ac:dyDescent="0.4">
      <c r="G7" s="27"/>
      <c r="H7" s="28" t="b">
        <v>0</v>
      </c>
      <c r="I7" s="29">
        <f>H7*1</f>
        <v>0</v>
      </c>
    </row>
    <row r="8" spans="3:9" x14ac:dyDescent="0.35"/>
    <row r="9" spans="3:9" ht="17" thickBot="1" x14ac:dyDescent="0.4">
      <c r="G9" s="22" t="s">
        <v>10</v>
      </c>
      <c r="H9" s="22"/>
      <c r="I9" s="22"/>
    </row>
    <row r="10" spans="3:9" ht="16" thickTop="1" x14ac:dyDescent="0.35"/>
    <row r="11" spans="3:9" ht="24.5" customHeight="1" x14ac:dyDescent="0.35">
      <c r="G11" s="8" t="s">
        <v>11</v>
      </c>
      <c r="H11" s="9" t="b">
        <v>0</v>
      </c>
      <c r="I11" s="16">
        <f>H11*1*I7</f>
        <v>0</v>
      </c>
    </row>
    <row r="12" spans="3:9" x14ac:dyDescent="0.35"/>
    <row r="13" spans="3:9" x14ac:dyDescent="0.35">
      <c r="G13" s="1"/>
      <c r="H13" s="1" t="s">
        <v>4</v>
      </c>
      <c r="I13" s="1" t="s">
        <v>5</v>
      </c>
    </row>
    <row r="14" spans="3:9" x14ac:dyDescent="0.35">
      <c r="G14" s="2" t="s">
        <v>2</v>
      </c>
      <c r="H14" s="3" t="str">
        <f>IFERROR(IF(I11=1,AVERAGEIFS(Table1[2],Table1[1],"&lt;&gt;"),""),"")</f>
        <v/>
      </c>
      <c r="I14" s="2">
        <f>IFERROR(MAX(Table1[2]),"")</f>
        <v>0</v>
      </c>
    </row>
    <row r="15" spans="3:9" x14ac:dyDescent="0.35">
      <c r="G15" s="2" t="s">
        <v>12</v>
      </c>
      <c r="H15" s="12"/>
      <c r="I15" s="10"/>
    </row>
    <row r="16" spans="3:9" x14ac:dyDescent="0.35">
      <c r="G16" s="2" t="s">
        <v>13</v>
      </c>
      <c r="H16" s="11"/>
      <c r="I16" s="13"/>
    </row>
    <row r="17" spans="3:9" x14ac:dyDescent="0.35">
      <c r="G17" s="2" t="s">
        <v>44</v>
      </c>
      <c r="H17" s="3" t="str">
        <f>IFERROR(IF(I11=1,AVERAGEIFS(Table1[3],Table1[2],"&lt;&gt;"),""),"")</f>
        <v/>
      </c>
      <c r="I17" s="2">
        <f>IFERROR(MAX(Table1[3]),"")</f>
        <v>0</v>
      </c>
    </row>
    <row r="18" spans="3:9" x14ac:dyDescent="0.35">
      <c r="G18" s="2" t="s">
        <v>45</v>
      </c>
      <c r="H18" s="3" t="str">
        <f>IFERROR(IF($I$11=1,H17-H14,""),"")</f>
        <v/>
      </c>
      <c r="I18" s="2"/>
    </row>
    <row r="19" spans="3:9" x14ac:dyDescent="0.35"/>
    <row r="20" spans="3:9" x14ac:dyDescent="0.35"/>
    <row r="21" spans="3:9" ht="17" thickBot="1" x14ac:dyDescent="0.4">
      <c r="G21" s="22" t="s">
        <v>8</v>
      </c>
      <c r="H21" s="22"/>
      <c r="I21" s="22"/>
    </row>
    <row r="22" spans="3:9" ht="16" thickTop="1" x14ac:dyDescent="0.35"/>
    <row r="23" spans="3:9" ht="24.5" customHeight="1" x14ac:dyDescent="0.35">
      <c r="G23" s="8" t="s">
        <v>9</v>
      </c>
      <c r="H23" s="9" t="b">
        <v>0</v>
      </c>
      <c r="I23" s="16">
        <f>H23*1*I7</f>
        <v>0</v>
      </c>
    </row>
    <row r="24" spans="3:9" x14ac:dyDescent="0.35">
      <c r="C24" s="18" t="s">
        <v>22</v>
      </c>
      <c r="D24" s="19" t="str">
        <f>IFERROR(MID(VLOOKUP("*&lt;name&gt;*",Table1[Original],1,FALSE),FIND("&gt;",VLOOKUP("*&lt;name&gt;*",Table1[Original],1,FALSE))+1,FIND("&lt;/name&gt;",VLOOKUP("*&lt;name&gt;*",Table1[Original],1,FALSE))-FIND("&gt;",VLOOKUP("*&lt;name&gt;*",Table1[Original],1,FALSE))-1),"")</f>
        <v/>
      </c>
    </row>
    <row r="25" spans="3:9" x14ac:dyDescent="0.35">
      <c r="C25" s="18" t="s">
        <v>20</v>
      </c>
      <c r="D25" s="20">
        <f>IFERROR(MIN(Table1[6]),"")</f>
        <v>0</v>
      </c>
      <c r="G25" s="1"/>
      <c r="H25" s="1" t="s">
        <v>6</v>
      </c>
      <c r="I25" s="1" t="s">
        <v>7</v>
      </c>
    </row>
    <row r="26" spans="3:9" x14ac:dyDescent="0.35">
      <c r="C26" s="18" t="s">
        <v>21</v>
      </c>
      <c r="D26" s="21">
        <f>IFERROR(MIN(Table1[6]),"")</f>
        <v>0</v>
      </c>
      <c r="G26" s="2" t="s">
        <v>2</v>
      </c>
      <c r="H26" s="6" t="str">
        <f>IFERROR(IF($I$23=1,MIN(Table1[6]),""),"")</f>
        <v/>
      </c>
      <c r="I26" s="6" t="str">
        <f>IFERROR(IF($I$23=1,MAX(Table1[6]),""),"")</f>
        <v/>
      </c>
    </row>
    <row r="27" spans="3:9" x14ac:dyDescent="0.35">
      <c r="G27" s="2" t="s">
        <v>25</v>
      </c>
      <c r="H27" s="12"/>
      <c r="I27" s="4"/>
    </row>
    <row r="28" spans="3:9" x14ac:dyDescent="0.35">
      <c r="G28" s="2" t="s">
        <v>3</v>
      </c>
      <c r="H28" s="6" t="str">
        <f>IFERROR(IF($I$23=1,MIN(Table1[7]),""),"")</f>
        <v/>
      </c>
      <c r="I28" s="6" t="str">
        <f>IFERROR(IF($I$23=1,MAX(Table1[7]),""),"")</f>
        <v/>
      </c>
    </row>
    <row r="29" spans="3:9" x14ac:dyDescent="0.35"/>
    <row r="30" spans="3:9" x14ac:dyDescent="0.35"/>
    <row r="31" spans="3:9" ht="17" thickBot="1" x14ac:dyDescent="0.4">
      <c r="G31" s="22" t="s">
        <v>24</v>
      </c>
      <c r="H31" s="22"/>
      <c r="I31" s="22"/>
    </row>
    <row r="32" spans="3:9" ht="16" thickTop="1" x14ac:dyDescent="0.35"/>
    <row r="33" spans="4:9" ht="24.5" customHeight="1" x14ac:dyDescent="0.35">
      <c r="D33" t="str">
        <f>IF(H11,"Adjusted Heart Rate","")</f>
        <v/>
      </c>
      <c r="G33" s="8" t="s">
        <v>17</v>
      </c>
      <c r="H33" s="9" t="b">
        <v>0</v>
      </c>
      <c r="I33" s="16">
        <f>H33*1*I7</f>
        <v>0</v>
      </c>
    </row>
    <row r="34" spans="4:9" x14ac:dyDescent="0.35"/>
    <row r="35" spans="4:9" x14ac:dyDescent="0.35">
      <c r="G35" s="1"/>
      <c r="H35" s="15" t="s">
        <v>18</v>
      </c>
      <c r="I35" s="15"/>
    </row>
    <row r="36" spans="4:9" x14ac:dyDescent="0.35">
      <c r="G36" s="2" t="s">
        <v>14</v>
      </c>
      <c r="H36" s="45">
        <f>IFERROR((MAX(Table1[6])-MIN(Table1[6]))*24*60,"")</f>
        <v>0</v>
      </c>
      <c r="I36" s="46"/>
    </row>
    <row r="37" spans="4:9" x14ac:dyDescent="0.35">
      <c r="G37" s="2" t="s">
        <v>15</v>
      </c>
      <c r="H37" s="43"/>
      <c r="I37" s="44"/>
    </row>
    <row r="38" spans="4:9" x14ac:dyDescent="0.35">
      <c r="G38" s="2" t="s">
        <v>16</v>
      </c>
      <c r="H38" s="47">
        <f>IFERROR((MAX(Table1[9])-MIN(Table1[9]))*24*60,"")</f>
        <v>0</v>
      </c>
      <c r="I38" s="48"/>
    </row>
    <row r="39" spans="4:9" x14ac:dyDescent="0.35"/>
    <row r="40" spans="4:9" x14ac:dyDescent="0.35"/>
  </sheetData>
  <protectedRanges>
    <protectedRange sqref="H15 I16 H27 H37:I37 H23:I23 H33:I33 H11:I11" name="Edit_Range"/>
  </protectedRanges>
  <mergeCells count="3">
    <mergeCell ref="H37:I37"/>
    <mergeCell ref="H36:I36"/>
    <mergeCell ref="H38:I38"/>
  </mergeCells>
  <conditionalFormatting sqref="G36:I38">
    <cfRule type="expression" dxfId="22" priority="3">
      <formula>($I$33=0)</formula>
    </cfRule>
  </conditionalFormatting>
  <conditionalFormatting sqref="G26:I28">
    <cfRule type="expression" dxfId="21" priority="2">
      <formula>($I$23=0)</formula>
    </cfRule>
  </conditionalFormatting>
  <conditionalFormatting sqref="G14:I18">
    <cfRule type="expression" dxfId="20" priority="1">
      <formula>($I$11=0)</formula>
    </cfRule>
  </conditionalFormatting>
  <dataValidations count="4">
    <dataValidation type="decimal" allowBlank="1" showInputMessage="1" showErrorMessage="1" sqref="H15" xr:uid="{F6336363-11C0-4FA3-82F9-5ADB466C1312}">
      <formula1>-220</formula1>
      <formula2>220</formula2>
    </dataValidation>
    <dataValidation type="decimal" allowBlank="1" showInputMessage="1" showErrorMessage="1" errorTitle="Wrong Input" error="Please enter a value between 0 and 220." prompt="Please enter a value between 0 and 220." sqref="I16" xr:uid="{8590D837-8BFA-4A32-8D3D-2AB39B9D6891}">
      <formula1>0</formula1>
      <formula2>220</formula2>
    </dataValidation>
    <dataValidation allowBlank="1" showInputMessage="1" showErrorMessage="1" promptTitle="Time Adjustment" prompt="Please enter the time adjustment in minutes here. So, if you've started 5 minutes later (than in the original data), enter 5." sqref="H27" xr:uid="{358B4420-C932-469E-9481-543A549D7CEE}"/>
    <dataValidation type="decimal" operator="greaterThan" allowBlank="1" showInputMessage="1" showErrorMessage="1" promptTitle="Adjust Total Time" prompt="Enter the new total time for the whole activity in minutes in here." sqref="H37:I37" xr:uid="{F053A487-C34A-4D50-BC48-934350A491A5}">
      <formula1>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25400</xdr:colOff>
                    <xdr:row>22</xdr:row>
                    <xdr:rowOff>31750</xdr:rowOff>
                  </from>
                  <to>
                    <xdr:col>8</xdr:col>
                    <xdr:colOff>1308100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7</xdr:col>
                    <xdr:colOff>25400</xdr:colOff>
                    <xdr:row>10</xdr:row>
                    <xdr:rowOff>38100</xdr:rowOff>
                  </from>
                  <to>
                    <xdr:col>8</xdr:col>
                    <xdr:colOff>1308100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7</xdr:col>
                    <xdr:colOff>25400</xdr:colOff>
                    <xdr:row>32</xdr:row>
                    <xdr:rowOff>31750</xdr:rowOff>
                  </from>
                  <to>
                    <xdr:col>8</xdr:col>
                    <xdr:colOff>1308100</xdr:colOff>
                    <xdr:row>32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6</xdr:col>
                    <xdr:colOff>101600</xdr:colOff>
                    <xdr:row>5</xdr:row>
                    <xdr:rowOff>50800</xdr:rowOff>
                  </from>
                  <to>
                    <xdr:col>8</xdr:col>
                    <xdr:colOff>1746250</xdr:colOff>
                    <xdr:row>6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95BC-C932-4C8D-BC93-A0345E49E0E5}">
  <sheetPr>
    <tabColor theme="1" tint="0.499984740745262"/>
  </sheetPr>
  <dimension ref="A1:V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0" defaultRowHeight="15.5" x14ac:dyDescent="0.35"/>
  <cols>
    <col min="1" max="2" width="40" customWidth="1"/>
    <col min="3" max="19" width="0.4140625" customWidth="1"/>
    <col min="20" max="20" width="10.6640625" hidden="1" customWidth="1"/>
    <col min="21" max="22" width="21.08203125" hidden="1" customWidth="1"/>
    <col min="23" max="16384" width="10.6640625" hidden="1"/>
  </cols>
  <sheetData>
    <row r="1" spans="1:18" ht="11.5" customHeight="1" x14ac:dyDescent="0.35">
      <c r="A1" s="32" t="s">
        <v>0</v>
      </c>
      <c r="B1" s="32" t="s">
        <v>1</v>
      </c>
      <c r="C1" s="31" t="s">
        <v>27</v>
      </c>
      <c r="D1" s="31" t="s">
        <v>28</v>
      </c>
      <c r="E1" s="31" t="s">
        <v>29</v>
      </c>
      <c r="F1" s="31" t="s">
        <v>30</v>
      </c>
      <c r="G1" s="31" t="s">
        <v>31</v>
      </c>
      <c r="H1" s="31" t="s">
        <v>32</v>
      </c>
      <c r="I1" s="31" t="s">
        <v>33</v>
      </c>
      <c r="J1" s="31" t="s">
        <v>34</v>
      </c>
      <c r="K1" s="31" t="s">
        <v>35</v>
      </c>
      <c r="L1" s="31" t="s">
        <v>36</v>
      </c>
      <c r="M1" s="31" t="s">
        <v>37</v>
      </c>
      <c r="N1" s="31" t="s">
        <v>38</v>
      </c>
      <c r="O1" s="31" t="s">
        <v>39</v>
      </c>
      <c r="P1" s="31" t="s">
        <v>40</v>
      </c>
      <c r="Q1" s="31" t="s">
        <v>42</v>
      </c>
      <c r="R1" s="31" t="s">
        <v>43</v>
      </c>
    </row>
    <row r="2" spans="1:18" x14ac:dyDescent="0.35">
      <c r="A2" s="41" t="s">
        <v>46</v>
      </c>
      <c r="B2" t="str">
        <f>IF(OR(AND(Table1[[#This Row],[1]]="",Table1[[#This Row],[Original]]=""),Table1[[#This Row],[Original]]="Paste GPX data here"),"",IF(Table1[[#This Row],[1]]&lt;&gt;"","         &lt;"&amp;Table1[[#This Row],[1]]&amp;Table1[[#This Row],[3]]&amp;"&lt;/"&amp;Table1[[#This Row],[1]]&amp;"&lt;!--Activity changed with Professor Excel model (professor-excel.com) - original hr: "&amp;Table1[[#This Row],[2]]&amp;"--&gt;",IF(OR(Table1[[#This Row],[4]]=1,Table1[[#This Row],[8]]=1),"  &lt;time&gt;"&amp;Table1[[#This Row],[10]]&amp;"&lt;/time&gt;&lt;!--Activity changed with Professor Excel model (professor-excel.com) - original time: "&amp;Table1[[#This Row],[5]]&amp;"--&gt;",A2)))</f>
        <v/>
      </c>
      <c r="C2" t="str">
        <f>IF(IFERROR(FIND("&lt;gpxtpx:hr&gt;",Table1[[#This Row],[Original]]),0)&gt;0,"gpxtpx:hr&gt;",IF(IFERROR(FIND("&lt;ns3:hr&gt;",Table1[[#This Row],[Original]]),0)&gt;0,"ns3:hr&gt;",""))</f>
        <v/>
      </c>
      <c r="D2" t="str">
        <f>IF(Activity_Overview!$I$11=1,IF(Table1[[#This Row],[1]]&lt;&gt;"",SUBSTITUTE(SUBSTITUTE(Table1[[#This Row],[Original]],"&lt;"&amp;Table1[[#This Row],[1]],""),"&lt;/"&amp;Table1[[#This Row],[1]],"")*1,""),"")</f>
        <v/>
      </c>
      <c r="E2" t="str">
        <f>IF(Activity_Overview!$I$11=1,IF(Table1[[#This Row],[1]]&lt;&gt;"",MIN(Table1[[#This Row],[2]]+Activity_Overview!$H$15,Activity_Overview!$I$16),""),"")</f>
        <v/>
      </c>
      <c r="F2" t="str">
        <f>IFERROR(IF(FIND("&lt;time&gt;",Table1[[#This Row],[Original]],1)&gt;1,Activity_Overview!$I$23,0),"")</f>
        <v/>
      </c>
      <c r="G2" t="str">
        <f>IFERROR(IF(FIND("&lt;time&gt;",Table1[[#This Row],[Original]],1)&gt;1,SUBSTITUTE(SUBSTITUTE(SUBSTITUTE(Table1[[#This Row],[Original]],"&lt;time&gt;",""),"&lt;/time&gt;","")," ","")),"")</f>
        <v/>
      </c>
      <c r="H2" s="5" t="str">
        <f>IF(Table1[[#This Row],[5]]&lt;&gt;"",DATEVALUE(LEFT(Table1[[#This Row],[5]],FIND("T",Table1[[#This Row],[5]])-1))+TIMEVALUE(MID(G2,12,8)),"")</f>
        <v/>
      </c>
      <c r="I2" s="5" t="str">
        <f>IF(Table1[[#This Row],[4]]=1,Table1[[#This Row],[6]]+Activity_Overview!$H$27/24/60,IF(Table1[[#This Row],[4]]=0,Table1[[#This Row],[6]],""))</f>
        <v/>
      </c>
      <c r="J2" s="14" t="str">
        <f>IFERROR(IF(FIND("&lt;time&gt;",Table1[[#This Row],[Original]],1)&gt;1,1*Activity_Overview!$I$33,0),"")</f>
        <v/>
      </c>
      <c r="K2" s="5" t="str">
        <f>IF(Table1[[#This Row],[8]]=1,(Table1[[#This Row],[7]]-MIN(Table1[7]))*Activity_Overview!$H$37/Activity_Overview!$H$36+MIN(Table1[7]),IFERROR(IF(FIND("&lt;time&gt;",Table1[[#This Row],[Original]],1)&gt;1,Table1[[#This Row],[7]],""),""))</f>
        <v/>
      </c>
      <c r="L2" s="5" t="str">
        <f>IF(Table1[[#This Row],[8]]=1,YEAR(Table1[[#This Row],[9]])&amp;"-"&amp;IF(MONTH(Table1[[#This Row],[9]])&lt;10,"0","")&amp;MONTH(Table1[[#This Row],[9]])&amp;"-"&amp;IF(DAY(Table1[[#This Row],[9]])&lt;10,"0","")&amp;DAY(Table1[[#This Row],[9]])&amp;"T"&amp;IF(HOUR(Table1[[#This Row],[9]])&lt;10,"0","")&amp;HOUR(Table1[[#This Row],[9]])&amp;":"&amp;IF(MINUTE(Table1[[#This Row],[9]])&lt;10,"0","")&amp;MINUTE(Table1[[#This Row],[9]])&amp;":"&amp;IF(SECOND(Table1[[#This Row],[9]])&lt;10,"0","")&amp;SECOND(Table1[[#This Row],[9]])&amp;"Z","")</f>
        <v/>
      </c>
      <c r="M2" s="17" t="str">
        <f>IFERROR(FIND("lat=",Table1[[#This Row],[Original]]),"")</f>
        <v/>
      </c>
      <c r="N2" s="14" t="str">
        <f>IFERROR(FIND("lon=",Table1[[#This Row],[Original]]),"")</f>
        <v/>
      </c>
      <c r="O2" s="23" t="e">
        <f>IFERROR(MID(Table1[[#This Row],[Original]],Table1[[#This Row],[11]]+5,FIND(CHAR(34),Table1[[#This Row],[Original]],Table1[[#This Row],[11]]+5)-Table1[[#This Row],[11]]-5)*1,NA())</f>
        <v>#N/A</v>
      </c>
      <c r="P2" s="23" t="e">
        <f>IFERROR(MID(Table1[[#This Row],[Original]],Table1[[#This Row],[12]]+5,FIND(CHAR(34),Table1[[#This Row],[Original]],Table1[[#This Row],[12]]+5)-Table1[[#This Row],[12]]-5)*1,NA())</f>
        <v>#N/A</v>
      </c>
      <c r="Q2" s="30" t="e">
        <f>IFERROR(SUBSTITUTE(SUBSTITUTE(Table1[[#This Row],[Original]],"&lt;"&amp;Table1[[#This Row],[1]],""),"&lt;/"&amp;Table1[[#This Row],[1]],"")*1,NA())</f>
        <v>#N/A</v>
      </c>
      <c r="R2" s="30" t="e">
        <f>IF(Table1[[#This Row],[3]]&lt;&gt;"",Table1[[#This Row],[3]],NA())</f>
        <v>#N/A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Activity_Overview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Schiffner</dc:creator>
  <cp:lastModifiedBy>Henrik Schiffner</cp:lastModifiedBy>
  <dcterms:created xsi:type="dcterms:W3CDTF">2019-11-17T13:50:36Z</dcterms:created>
  <dcterms:modified xsi:type="dcterms:W3CDTF">2021-01-24T06:29:18Z</dcterms:modified>
</cp:coreProperties>
</file>